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600" firstSheet="0" activeTab="0" autoFilterDateGrouping="1"/>
  </bookViews>
  <sheets>
    <sheet xmlns:r="http://schemas.openxmlformats.org/officeDocument/2006/relationships" name="요약_사업수지" sheetId="1" state="visible" r:id="rId1"/>
    <sheet xmlns:r="http://schemas.openxmlformats.org/officeDocument/2006/relationships" name="주요입력_근거" sheetId="2" state="visible" r:id="rId2"/>
    <sheet xmlns:r="http://schemas.openxmlformats.org/officeDocument/2006/relationships" name="면적_분양수입_상세" sheetId="3" state="visible" r:id="rId3"/>
    <sheet xmlns:r="http://schemas.openxmlformats.org/officeDocument/2006/relationships" name="시나리오_민감도_비교사례" sheetId="4" state="visible" r:id="rId4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0.0%"/>
  </numFmts>
  <fonts count="19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Noto Sans CJK SC"/>
      <family val="2"/>
      <b val="1"/>
      <color rgb="FF1F2937"/>
      <sz val="14"/>
    </font>
    <font>
      <name val="맑은 고딕"/>
      <charset val="1"/>
      <family val="0"/>
      <b val="1"/>
      <color rgb="FF1F2937"/>
      <sz val="14"/>
    </font>
    <font>
      <name val="Noto Sans CJK SC"/>
      <family val="2"/>
      <color rgb="FF4B5563"/>
      <sz val="9"/>
    </font>
    <font>
      <name val="맑은 고딕"/>
      <charset val="1"/>
      <family val="0"/>
      <color rgb="FF4B5563"/>
      <sz val="9"/>
    </font>
    <font>
      <name val="맑은 고딕"/>
      <charset val="1"/>
      <family val="0"/>
      <b val="1"/>
      <color rgb="FF1E3A8A"/>
      <sz val="11"/>
    </font>
    <font>
      <name val="Noto Sans CJK SC"/>
      <family val="2"/>
      <b val="1"/>
      <color rgb="FF1E3A8A"/>
      <sz val="11"/>
    </font>
    <font>
      <name val="Noto Sans CJK SC"/>
      <family val="2"/>
      <b val="1"/>
      <color rgb="FFFFFFFF"/>
      <sz val="10"/>
    </font>
    <font>
      <name val="맑은 고딕"/>
      <charset val="1"/>
      <family val="0"/>
      <b val="1"/>
      <color rgb="FFFFFFFF"/>
      <sz val="10"/>
    </font>
    <font>
      <name val="Noto Sans CJK SC"/>
      <family val="2"/>
      <color rgb="FF111827"/>
      <sz val="10"/>
    </font>
    <font>
      <name val="맑은 고딕"/>
      <charset val="1"/>
      <family val="0"/>
      <color rgb="FF111827"/>
      <sz val="10"/>
    </font>
    <font>
      <name val="맑은 고딕"/>
      <charset val="1"/>
      <family val="0"/>
      <b val="1"/>
      <color rgb="FF111827"/>
      <sz val="10"/>
    </font>
    <font>
      <name val="Noto Sans CJK SC"/>
      <family val="2"/>
      <b val="1"/>
      <color rgb="FF111827"/>
      <sz val="10"/>
    </font>
    <font>
      <name val="Noto Sans CJK SC"/>
      <family val="2"/>
      <b val="1"/>
      <color rgb="FF1D4ED8"/>
      <sz val="10"/>
    </font>
    <font>
      <name val="맑은 고딕"/>
      <charset val="1"/>
      <family val="0"/>
      <b val="1"/>
      <color rgb="FF1D4ED8"/>
      <sz val="10"/>
    </font>
    <font>
      <name val="맑은 고딕"/>
      <charset val="1"/>
      <family val="0"/>
      <b val="1"/>
      <color rgb="FF1F2937"/>
      <sz val="10"/>
    </font>
  </fonts>
  <fills count="7">
    <fill>
      <patternFill/>
    </fill>
    <fill>
      <patternFill patternType="gray125"/>
    </fill>
    <fill>
      <patternFill patternType="solid">
        <fgColor rgb="FF1E3A8A"/>
        <bgColor rgb="FF003366"/>
      </patternFill>
    </fill>
    <fill>
      <patternFill patternType="solid">
        <fgColor rgb="FFF3F4F6"/>
        <bgColor rgb="FFF8FAFC"/>
      </patternFill>
    </fill>
    <fill>
      <patternFill patternType="solid">
        <fgColor rgb="FFDBEAFE"/>
        <bgColor rgb="FFF3F4F6"/>
      </patternFill>
    </fill>
    <fill>
      <patternFill patternType="solid">
        <fgColor rgb="FFF8FAFC"/>
        <bgColor rgb="FFFFFFFF"/>
      </patternFill>
    </fill>
    <fill>
      <patternFill patternType="solid">
        <fgColor rgb="FFFEF9C3"/>
        <bgColor rgb="FFFFFF99"/>
      </patternFill>
    </fill>
  </fills>
  <borders count="8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medium">
        <color rgb="FF1E3A8A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double">
        <color rgb="FF111827"/>
      </bottom>
      <diagonal/>
    </border>
    <border>
      <left/>
      <right/>
      <top style="thin">
        <color rgb="FFD1D5DB"/>
      </top>
      <bottom/>
      <diagonal/>
    </border>
    <border>
      <left/>
      <right style="thin">
        <color rgb="FFD1D5DB"/>
      </right>
      <top style="thin">
        <color rgb="FFD1D5DB"/>
      </top>
      <bottom/>
      <diagonal/>
    </border>
    <border>
      <left/>
      <right/>
      <top style="thin">
        <color rgb="FFD1D5DB"/>
      </top>
      <bottom style="thin">
        <color rgb="FFD1D5DB"/>
      </bottom>
      <diagonal/>
    </border>
    <border>
      <left/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77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  <xf numFmtId="0" fontId="8" fillId="0" borderId="0" applyAlignment="1" pivotButton="0" quotePrefix="0" xfId="0">
      <alignment horizontal="general" vertical="bottom"/>
    </xf>
    <xf numFmtId="0" fontId="10" fillId="2" borderId="1" applyAlignment="1" pivotButton="0" quotePrefix="0" xfId="0">
      <alignment horizontal="center" vertical="center" wrapText="1"/>
    </xf>
    <xf numFmtId="0" fontId="12" fillId="0" borderId="2" applyAlignment="1" pivotButton="0" quotePrefix="0" xfId="0">
      <alignment horizontal="left" vertical="center" wrapText="1"/>
    </xf>
    <xf numFmtId="164" fontId="13" fillId="0" borderId="2" applyAlignment="1" pivotButton="0" quotePrefix="0" xfId="0">
      <alignment horizontal="right" vertical="center" wrapText="1"/>
    </xf>
    <xf numFmtId="164" fontId="14" fillId="0" borderId="2" applyAlignment="1" pivotButton="0" quotePrefix="0" xfId="0">
      <alignment horizontal="right" vertical="center" wrapText="1"/>
    </xf>
    <xf numFmtId="0" fontId="13" fillId="0" borderId="2" applyAlignment="1" pivotButton="0" quotePrefix="0" xfId="0">
      <alignment horizontal="left" vertical="center" wrapText="1"/>
    </xf>
    <xf numFmtId="0" fontId="12" fillId="0" borderId="2" applyAlignment="1" pivotButton="0" quotePrefix="0" xfId="0">
      <alignment horizontal="center" vertical="center" wrapText="1"/>
    </xf>
    <xf numFmtId="0" fontId="15" fillId="0" borderId="2" applyAlignment="1" pivotButton="0" quotePrefix="0" xfId="0">
      <alignment horizontal="center" vertical="center" wrapText="1"/>
    </xf>
    <xf numFmtId="3" fontId="13" fillId="0" borderId="2" applyAlignment="1" pivotButton="0" quotePrefix="0" xfId="0">
      <alignment horizontal="right" vertical="center" wrapText="1"/>
    </xf>
    <xf numFmtId="3" fontId="14" fillId="0" borderId="2" applyAlignment="1" pivotButton="0" quotePrefix="0" xfId="0">
      <alignment horizontal="right" vertical="center" wrapText="1"/>
    </xf>
    <xf numFmtId="0" fontId="15" fillId="3" borderId="3" applyAlignment="1" pivotButton="0" quotePrefix="0" xfId="0">
      <alignment horizontal="left" vertical="center" wrapText="1"/>
    </xf>
    <xf numFmtId="164" fontId="14" fillId="3" borderId="3" applyAlignment="1" pivotButton="0" quotePrefix="0" xfId="0">
      <alignment horizontal="right" vertical="center" wrapText="1"/>
    </xf>
    <xf numFmtId="0" fontId="16" fillId="4" borderId="3" applyAlignment="1" pivotButton="0" quotePrefix="0" xfId="0">
      <alignment horizontal="left" vertical="center" wrapText="1"/>
    </xf>
    <xf numFmtId="164" fontId="17" fillId="4" borderId="3" applyAlignment="1" pivotButton="0" quotePrefix="0" xfId="0">
      <alignment horizontal="right" vertical="center" wrapText="1"/>
    </xf>
    <xf numFmtId="165" fontId="13" fillId="0" borderId="2" applyAlignment="1" pivotButton="0" quotePrefix="0" xfId="0">
      <alignment horizontal="right" vertical="center" wrapText="1"/>
    </xf>
    <xf numFmtId="0" fontId="17" fillId="4" borderId="3" applyAlignment="1" pivotButton="0" quotePrefix="0" xfId="0">
      <alignment horizontal="left" vertical="center" wrapText="1"/>
    </xf>
    <xf numFmtId="0" fontId="18" fillId="5" borderId="2" applyAlignment="1" pivotButton="0" quotePrefix="0" xfId="0">
      <alignment horizontal="left" vertical="center" wrapText="1"/>
    </xf>
    <xf numFmtId="0" fontId="15" fillId="0" borderId="2" applyAlignment="1" pivotButton="0" quotePrefix="0" xfId="0">
      <alignment horizontal="left" vertical="center" wrapText="1"/>
    </xf>
    <xf numFmtId="4" fontId="14" fillId="6" borderId="2" applyAlignment="1" pivotButton="0" quotePrefix="0" xfId="0">
      <alignment horizontal="right" vertical="center" wrapText="1"/>
    </xf>
    <xf numFmtId="0" fontId="14" fillId="0" borderId="2" applyAlignment="1" pivotButton="0" quotePrefix="0" xfId="0">
      <alignment horizontal="left" vertical="center" wrapText="1"/>
    </xf>
    <xf numFmtId="165" fontId="14" fillId="6" borderId="2" applyAlignment="1" pivotButton="0" quotePrefix="0" xfId="0">
      <alignment horizontal="right" vertical="center" wrapText="1"/>
    </xf>
    <xf numFmtId="3" fontId="14" fillId="6" borderId="2" applyAlignment="1" pivotButton="0" quotePrefix="0" xfId="0">
      <alignment horizontal="right" vertical="center" wrapText="1"/>
    </xf>
    <xf numFmtId="0" fontId="9" fillId="0" borderId="0" applyAlignment="1" pivotButton="0" quotePrefix="0" xfId="0">
      <alignment horizontal="general" vertical="bottom"/>
    </xf>
    <xf numFmtId="3" fontId="13" fillId="0" borderId="2" applyAlignment="1" pivotButton="0" quotePrefix="0" xfId="0">
      <alignment horizontal="center" vertical="center" wrapText="1"/>
    </xf>
    <xf numFmtId="3" fontId="14" fillId="3" borderId="3" applyAlignment="1" pivotButton="0" quotePrefix="0" xfId="0">
      <alignment horizontal="center" vertical="center" wrapText="1"/>
    </xf>
    <xf numFmtId="3" fontId="14" fillId="3" borderId="3" applyAlignment="1" pivotButton="0" quotePrefix="0" xfId="0">
      <alignment horizontal="right" vertical="center" wrapText="1"/>
    </xf>
    <xf numFmtId="0" fontId="11" fillId="2" borderId="1" applyAlignment="1" pivotButton="0" quotePrefix="0" xfId="0">
      <alignment horizontal="center" vertical="center" wrapText="1"/>
    </xf>
    <xf numFmtId="0" fontId="15" fillId="4" borderId="2" applyAlignment="1" pivotButton="0" quotePrefix="0" xfId="0">
      <alignment horizontal="left" vertical="center" wrapText="1"/>
    </xf>
    <xf numFmtId="3" fontId="14" fillId="4" borderId="2" applyAlignment="1" pivotButton="0" quotePrefix="0" xfId="0">
      <alignment horizontal="right" vertical="center" wrapText="1"/>
    </xf>
    <xf numFmtId="164" fontId="14" fillId="4" borderId="2" applyAlignment="1" pivotButton="0" quotePrefix="0" xfId="0">
      <alignment horizontal="right" vertical="center" wrapText="1"/>
    </xf>
    <xf numFmtId="164" fontId="17" fillId="4" borderId="2" applyAlignment="1" pivotButton="0" quotePrefix="0" xfId="0">
      <alignment horizontal="right" vertical="center" wrapText="1"/>
    </xf>
    <xf numFmtId="165" fontId="17" fillId="4" borderId="2" applyAlignment="1" pivotButton="0" quotePrefix="0" xfId="0">
      <alignment horizontal="right" vertical="center" wrapText="1"/>
    </xf>
    <xf numFmtId="0" fontId="6" fillId="0" borderId="2" applyAlignment="1" pivotButton="0" quotePrefix="0" xfId="0">
      <alignment horizontal="left" vertical="center" wrapText="1"/>
    </xf>
    <xf numFmtId="0" fontId="13" fillId="0" borderId="2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  <xf numFmtId="0" fontId="8" fillId="0" borderId="0" applyAlignment="1" pivotButton="0" quotePrefix="0" xfId="0">
      <alignment horizontal="general" vertical="bottom"/>
    </xf>
    <xf numFmtId="0" fontId="10" fillId="2" borderId="1" applyAlignment="1" pivotButton="0" quotePrefix="0" xfId="0">
      <alignment horizontal="center" vertical="center" wrapText="1"/>
    </xf>
    <xf numFmtId="0" fontId="12" fillId="0" borderId="2" applyAlignment="1" pivotButton="0" quotePrefix="0" xfId="0">
      <alignment horizontal="left" vertical="center" wrapText="1"/>
    </xf>
    <xf numFmtId="164" fontId="13" fillId="0" borderId="2" applyAlignment="1" pivotButton="0" quotePrefix="0" xfId="0">
      <alignment horizontal="right" vertical="center" wrapText="1"/>
    </xf>
    <xf numFmtId="164" fontId="14" fillId="0" borderId="2" applyAlignment="1" pivotButton="0" quotePrefix="0" xfId="0">
      <alignment horizontal="right" vertical="center" wrapText="1"/>
    </xf>
    <xf numFmtId="0" fontId="13" fillId="0" borderId="2" applyAlignment="1" pivotButton="0" quotePrefix="0" xfId="0">
      <alignment horizontal="left" vertical="center" wrapText="1"/>
    </xf>
    <xf numFmtId="0" fontId="12" fillId="0" borderId="2" applyAlignment="1" pivotButton="0" quotePrefix="0" xfId="0">
      <alignment horizontal="center" vertical="center" wrapText="1"/>
    </xf>
    <xf numFmtId="0" fontId="15" fillId="0" borderId="2" applyAlignment="1" pivotButton="0" quotePrefix="0" xfId="0">
      <alignment horizontal="center" vertical="center" wrapText="1"/>
    </xf>
    <xf numFmtId="3" fontId="13" fillId="0" borderId="2" applyAlignment="1" pivotButton="0" quotePrefix="0" xfId="0">
      <alignment horizontal="right" vertical="center" wrapText="1"/>
    </xf>
    <xf numFmtId="3" fontId="14" fillId="0" borderId="2" applyAlignment="1" pivotButton="0" quotePrefix="0" xfId="0">
      <alignment horizontal="right" vertical="center" wrapText="1"/>
    </xf>
    <xf numFmtId="0" fontId="15" fillId="3" borderId="3" applyAlignment="1" pivotButton="0" quotePrefix="0" xfId="0">
      <alignment horizontal="left" vertical="center" wrapText="1"/>
    </xf>
    <xf numFmtId="164" fontId="14" fillId="3" borderId="3" applyAlignment="1" pivotButton="0" quotePrefix="0" xfId="0">
      <alignment horizontal="right" vertical="center" wrapText="1"/>
    </xf>
    <xf numFmtId="0" fontId="16" fillId="4" borderId="3" applyAlignment="1" pivotButton="0" quotePrefix="0" xfId="0">
      <alignment horizontal="left" vertical="center" wrapText="1"/>
    </xf>
    <xf numFmtId="164" fontId="17" fillId="4" borderId="3" applyAlignment="1" pivotButton="0" quotePrefix="0" xfId="0">
      <alignment horizontal="right" vertical="center" wrapText="1"/>
    </xf>
    <xf numFmtId="165" fontId="13" fillId="0" borderId="2" applyAlignment="1" pivotButton="0" quotePrefix="0" xfId="0">
      <alignment horizontal="right" vertical="center" wrapText="1"/>
    </xf>
    <xf numFmtId="0" fontId="17" fillId="4" borderId="3" applyAlignment="1" pivotButton="0" quotePrefix="0" xfId="0">
      <alignment horizontal="left" vertical="center" wrapText="1"/>
    </xf>
    <xf numFmtId="0" fontId="18" fillId="5" borderId="2" applyAlignment="1" pivotButton="0" quotePrefix="0" xfId="0">
      <alignment horizontal="left" vertical="center" wrapText="1"/>
    </xf>
    <xf numFmtId="0" fontId="0" fillId="0" borderId="6" pivotButton="0" quotePrefix="0" xfId="0"/>
    <xf numFmtId="0" fontId="0" fillId="0" borderId="7" pivotButton="0" quotePrefix="0" xfId="0"/>
    <xf numFmtId="0" fontId="15" fillId="0" borderId="2" applyAlignment="1" pivotButton="0" quotePrefix="0" xfId="0">
      <alignment horizontal="left" vertical="center" wrapText="1"/>
    </xf>
    <xf numFmtId="4" fontId="14" fillId="6" borderId="2" applyAlignment="1" pivotButton="0" quotePrefix="0" xfId="0">
      <alignment horizontal="right" vertical="center" wrapText="1"/>
    </xf>
    <xf numFmtId="0" fontId="14" fillId="0" borderId="2" applyAlignment="1" pivotButton="0" quotePrefix="0" xfId="0">
      <alignment horizontal="left" vertical="center" wrapText="1"/>
    </xf>
    <xf numFmtId="165" fontId="14" fillId="6" borderId="2" applyAlignment="1" pivotButton="0" quotePrefix="0" xfId="0">
      <alignment horizontal="right" vertical="center" wrapText="1"/>
    </xf>
    <xf numFmtId="3" fontId="14" fillId="6" borderId="2" applyAlignment="1" pivotButton="0" quotePrefix="0" xfId="0">
      <alignment horizontal="right" vertical="center" wrapText="1"/>
    </xf>
    <xf numFmtId="0" fontId="9" fillId="0" borderId="0" applyAlignment="1" pivotButton="0" quotePrefix="0" xfId="0">
      <alignment horizontal="general" vertical="bottom"/>
    </xf>
    <xf numFmtId="3" fontId="13" fillId="0" borderId="2" applyAlignment="1" pivotButton="0" quotePrefix="0" xfId="0">
      <alignment horizontal="center" vertical="center" wrapText="1"/>
    </xf>
    <xf numFmtId="3" fontId="14" fillId="3" borderId="3" applyAlignment="1" pivotButton="0" quotePrefix="0" xfId="0">
      <alignment horizontal="center" vertical="center" wrapText="1"/>
    </xf>
    <xf numFmtId="3" fontId="14" fillId="3" borderId="3" applyAlignment="1" pivotButton="0" quotePrefix="0" xfId="0">
      <alignment horizontal="right" vertical="center" wrapText="1"/>
    </xf>
    <xf numFmtId="0" fontId="11" fillId="2" borderId="1" applyAlignment="1" pivotButton="0" quotePrefix="0" xfId="0">
      <alignment horizontal="center" vertical="center" wrapText="1"/>
    </xf>
    <xf numFmtId="0" fontId="15" fillId="4" borderId="2" applyAlignment="1" pivotButton="0" quotePrefix="0" xfId="0">
      <alignment horizontal="left" vertical="center" wrapText="1"/>
    </xf>
    <xf numFmtId="3" fontId="14" fillId="4" borderId="2" applyAlignment="1" pivotButton="0" quotePrefix="0" xfId="0">
      <alignment horizontal="right" vertical="center" wrapText="1"/>
    </xf>
    <xf numFmtId="164" fontId="14" fillId="4" borderId="2" applyAlignment="1" pivotButton="0" quotePrefix="0" xfId="0">
      <alignment horizontal="right" vertical="center" wrapText="1"/>
    </xf>
    <xf numFmtId="164" fontId="17" fillId="4" borderId="2" applyAlignment="1" pivotButton="0" quotePrefix="0" xfId="0">
      <alignment horizontal="right" vertical="center" wrapText="1"/>
    </xf>
    <xf numFmtId="165" fontId="17" fillId="4" borderId="2" applyAlignment="1" pivotButton="0" quotePrefix="0" xfId="0">
      <alignment horizontal="right" vertical="center" wrapText="1"/>
    </xf>
    <xf numFmtId="0" fontId="6" fillId="0" borderId="2" applyAlignment="1" pivotButton="0" quotePrefix="0" xfId="0">
      <alignment horizontal="left" vertical="center" wrapText="1"/>
    </xf>
    <xf numFmtId="0" fontId="13" fillId="0" borderId="2" applyAlignment="1" pivotButton="0" quotePrefix="0" xfId="0">
      <alignment horizontal="center" vertical="center" wrapText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9C3"/>
      <rgbColor rgb="FFDBEAFE"/>
      <rgbColor rgb="FF660066"/>
      <rgbColor rgb="FFFF8080"/>
      <rgbColor rgb="FF1D4ED8"/>
      <rgbColor rgb="FFD1D5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3F4F6"/>
      <rgbColor rgb="FFF8FAF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B5563"/>
      <rgbColor rgb="FF969696"/>
      <rgbColor rgb="FF003366"/>
      <rgbColor rgb="FF339966"/>
      <rgbColor rgb="FF111827"/>
      <rgbColor rgb="FF333300"/>
      <rgbColor rgb="FF993300"/>
      <rgbColor rgb="FF993366"/>
      <rgbColor rgb="FF1E3A8A"/>
      <rgbColor rgb="FF1F2937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E3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5390625" defaultRowHeight="15" zeroHeight="0" outlineLevelRow="0"/>
  <cols>
    <col width="36" customWidth="1" style="37" min="1" max="1"/>
    <col width="22" customWidth="1" style="37" min="2" max="4"/>
    <col width="45" customWidth="1" style="37" min="5" max="5"/>
  </cols>
  <sheetData>
    <row r="1" ht="27.75" customHeight="1" s="38">
      <c r="A1" s="39" t="inlineStr">
        <is>
          <t>설계안 사업성 검토 (3-Bay PC공법 · 지상 7~8층)</t>
        </is>
      </c>
    </row>
    <row r="2" ht="21.75" customHeight="1" s="38">
      <c r="A2" s="40" t="inlineStr">
        <is>
          <t>※ 노란색 셀(주요입력_근거 시트 포함)은 조정 가능한 작업가정입니다. 세금·PF금융비용·조합원 정산조건은 미확정으로 별도 확인이 필요합니다.</t>
        </is>
      </c>
    </row>
    <row r="3" ht="21.75" customHeight="1" s="38"/>
    <row r="4" ht="21.75" customHeight="1" s="38">
      <c r="A4" s="41" t="inlineStr">
        <is>
          <t>1. 대상지 현황 및 계획 건축규모 (소규모 신축 한시 특례 용적률 250% 기준)</t>
        </is>
      </c>
    </row>
    <row r="5" ht="21.75" customHeight="1" s="38">
      <c r="A5" s="42" t="inlineStr">
        <is>
          <t>구분</t>
        </is>
      </c>
      <c r="B5" s="42" t="inlineStr">
        <is>
          <t>예시 부지 (본 대지)</t>
        </is>
      </c>
      <c r="C5" s="42" t="inlineStr">
        <is>
          <t>예시 부지 (합필 대지)</t>
        </is>
      </c>
      <c r="D5" s="42" t="inlineStr">
        <is>
          <t>합필 후 전체 / 계획안</t>
        </is>
      </c>
      <c r="E5" s="42" t="inlineStr">
        <is>
          <t>비고 및 출처</t>
        </is>
      </c>
    </row>
    <row r="6" ht="21.75" customHeight="1" s="38">
      <c r="A6" s="43" t="inlineStr">
        <is>
          <t>대지면적 (㎡)</t>
        </is>
      </c>
      <c r="B6" s="44" t="n">
        <v>483.3</v>
      </c>
      <c r="C6" s="44" t="n">
        <v>239.7</v>
      </c>
      <c r="D6" s="45">
        <f>B6+C6</f>
        <v/>
      </c>
      <c r="E6" s="43" t="inlineStr">
        <is>
          <t>토지대장 등록면적 (2026-09-07 기준)</t>
        </is>
      </c>
    </row>
    <row r="7" ht="21.75" customHeight="1" s="38">
      <c r="A7" s="43" t="inlineStr">
        <is>
          <t>대지면적 (평)</t>
        </is>
      </c>
      <c r="B7" s="44">
        <f>B6/3.3058</f>
        <v/>
      </c>
      <c r="C7" s="44">
        <f>C6/3.3058</f>
        <v/>
      </c>
      <c r="D7" s="45">
        <f>D6/3.3058</f>
        <v/>
      </c>
      <c r="E7" s="46" t="inlineStr">
        <is>
          <t>1평 = 3.3058㎡ 환산</t>
        </is>
      </c>
    </row>
    <row r="8" ht="21.75" customHeight="1" s="38">
      <c r="A8" s="43" t="inlineStr">
        <is>
          <t>용도지역 / 지목</t>
        </is>
      </c>
      <c r="B8" s="47" t="inlineStr">
        <is>
          <t>제2종일반주거지역 / 대</t>
        </is>
      </c>
      <c r="C8" s="47" t="inlineStr">
        <is>
          <t>제2종일반주거지역 / 대</t>
        </is>
      </c>
      <c r="D8" s="48" t="inlineStr">
        <is>
          <t>제2종일반주거지역 / 대</t>
        </is>
      </c>
      <c r="E8" s="43" t="inlineStr">
        <is>
          <t>지구단위계획·정비구역 밖</t>
        </is>
      </c>
    </row>
    <row r="9" ht="21.75" customHeight="1" s="38">
      <c r="A9" s="43" t="inlineStr">
        <is>
          <t>기존 건물 현황</t>
        </is>
      </c>
      <c r="B9" s="47" t="inlineStr">
        <is>
          <t>공동주택 2개동(지하1/지상2층, 12세대, 648㎡)</t>
        </is>
      </c>
      <c r="C9" s="47" t="inlineStr">
        <is>
          <t>제2종근생 1개동(지하1/지상4층, 523.5㎡)</t>
        </is>
      </c>
      <c r="D9" s="48" t="inlineStr">
        <is>
          <t>총 3개동 연면적 1,171.5㎡ 철거</t>
        </is>
      </c>
      <c r="E9" s="43" t="inlineStr">
        <is>
          <t>건축물대장 표제부 (1987·1990년 사용승인)</t>
        </is>
      </c>
    </row>
    <row r="10" ht="21.75" customHeight="1" s="38">
      <c r="A10" s="46" t="inlineStr">
        <is>
          <t>2026년 개별공시지가 (원/㎡)</t>
        </is>
      </c>
      <c r="B10" s="49" t="n">
        <v>10100000</v>
      </c>
      <c r="C10" s="49" t="n">
        <v>10000000</v>
      </c>
      <c r="D10" s="50">
        <f>(B6*B10+C6*C10)/D6</f>
        <v/>
      </c>
      <c r="E10" s="46" t="inlineStr">
        <is>
          <t>2026년 공시지가 (합계 약 72.8억원)</t>
        </is>
      </c>
    </row>
    <row r="11" ht="21.75" customHeight="1" s="38">
      <c r="A11" s="43" t="inlineStr">
        <is>
          <t>랜드북 AI 추정가 (억원)</t>
        </is>
      </c>
      <c r="B11" s="44" t="n">
        <v>21.38</v>
      </c>
      <c r="C11" s="44" t="n">
        <v>6.32</v>
      </c>
      <c r="D11" s="45">
        <f>B11+C11</f>
        <v/>
      </c>
      <c r="E11" s="46" t="inlineStr">
        <is>
          <t>부지 A(12세대 추정가 합 21.4억, 토지추정 13.0억) / 부지 B(일반건물 추정 6.3억, 토지추정 6.5억)</t>
        </is>
      </c>
    </row>
    <row r="12" ht="21.75" customHeight="1" s="38"/>
    <row r="13" ht="21.75" customHeight="1" s="38">
      <c r="A13" s="41" t="inlineStr">
        <is>
          <t>2. 신축 분양형 개발 사업수지 총괄표 (금융비용·세금 제외 전 영업수지, 단위: 억원)</t>
        </is>
      </c>
    </row>
    <row r="14" ht="21.75" customHeight="1" s="38">
      <c r="A14" s="42" t="inlineStr">
        <is>
          <t>항목</t>
        </is>
      </c>
      <c r="B14" s="42" t="inlineStr">
        <is>
          <t>안 A: 지상 8층 (25세대+상가2호)</t>
        </is>
      </c>
      <c r="C14" s="42" t="inlineStr">
        <is>
          <t>안 B: 지상 7층 (24세대+상가2호)</t>
        </is>
      </c>
      <c r="D14" s="42" t="inlineStr">
        <is>
          <t>차이 (안A - 안B)</t>
        </is>
      </c>
      <c r="E14" s="42" t="inlineStr">
        <is>
          <t>산정 기준 및 참조</t>
        </is>
      </c>
    </row>
    <row r="15" ht="21.75" customHeight="1" s="38">
      <c r="A15" s="46" t="inlineStr">
        <is>
          <t>[매출] 1층 근린생활시설 분양 (2개호)</t>
        </is>
      </c>
      <c r="B15" s="44">
        <f>면적_분양수입_상세!G6</f>
        <v/>
      </c>
      <c r="C15" s="44">
        <f>면적_분양수입_상세!G6</f>
        <v/>
      </c>
      <c r="D15" s="44">
        <f>B15-C15</f>
        <v/>
      </c>
      <c r="E15" s="43" t="inlineStr">
        <is>
          <t>전용 63.0평 (101호·102호), 전용평당 6,500만원 가정</t>
        </is>
      </c>
    </row>
    <row r="16" ht="21.75" customHeight="1" s="38">
      <c r="A16" s="46" t="inlineStr">
        <is>
          <t>[매출] 2~7층 3-Bay 주택 분양 (24세대)</t>
        </is>
      </c>
      <c r="B16" s="44">
        <f>면적_분양수입_상세!G7</f>
        <v/>
      </c>
      <c r="C16" s="44">
        <f>면적_분양수입_상세!G7</f>
        <v/>
      </c>
      <c r="D16" s="44">
        <f>B16-C16</f>
        <v/>
      </c>
      <c r="E16" s="43" t="inlineStr">
        <is>
          <t>세대당 전용 46.8㎡+발코니 15㎡(실사용 18.7평) × 24세대</t>
        </is>
      </c>
    </row>
    <row r="17" ht="21.75" customHeight="1" s="38">
      <c r="A17" s="46" t="inlineStr">
        <is>
          <t>[매출] 8층 단독 펜트하우스 분양 (1세대)</t>
        </is>
      </c>
      <c r="B17" s="44">
        <f>면적_분양수입_상세!G8</f>
        <v/>
      </c>
      <c r="C17" s="44" t="n">
        <v>0</v>
      </c>
      <c r="D17" s="44">
        <f>B17-C17</f>
        <v/>
      </c>
      <c r="E17" s="43" t="inlineStr">
        <is>
          <t>안A: 전용 84.0㎡+발코니 21㎡+테라스 80㎡ 단독 1세대</t>
        </is>
      </c>
    </row>
    <row r="18" ht="21.75" customHeight="1" s="38">
      <c r="A18" s="51" t="inlineStr">
        <is>
          <t>총 분양수입 (매출 합계)</t>
        </is>
      </c>
      <c r="B18" s="52">
        <f>SUM(B15:B17)</f>
        <v/>
      </c>
      <c r="C18" s="52">
        <f>SUM(C15:C17)</f>
        <v/>
      </c>
      <c r="D18" s="52">
        <f>B18-C18</f>
        <v/>
      </c>
      <c r="E18" s="51" t="inlineStr">
        <is>
          <t>부가가치세 별도 기준 (소형·국민주택 면세, 상가 건물분 별도)</t>
        </is>
      </c>
    </row>
    <row r="19" ht="21.75" customHeight="1" s="38">
      <c r="A19" s="46" t="inlineStr">
        <is>
          <t>[원가 1] 토지·기존건물 매입원가 (반영액)</t>
        </is>
      </c>
      <c r="B19" s="44">
        <f>주요입력_근거!C6</f>
        <v/>
      </c>
      <c r="C19" s="44">
        <f>주요입력_근거!C6</f>
        <v/>
      </c>
      <c r="D19" s="44">
        <f>B19-C19</f>
        <v/>
      </c>
      <c r="E19" s="43" t="inlineStr">
        <is>
          <t>기본안: 인근 실거래 중위가(평당 8,337만원) 기준 182.3억원</t>
        </is>
      </c>
    </row>
    <row r="20" ht="21.75" customHeight="1" s="38">
      <c r="A20" s="46" t="inlineStr">
        <is>
          <t>[원가 2] 토지 취득세 및 부대비용</t>
        </is>
      </c>
      <c r="B20" s="44">
        <f>B19*주요입력_근거!C10</f>
        <v/>
      </c>
      <c r="C20" s="44">
        <f>C19*주요입력_근거!C10</f>
        <v/>
      </c>
      <c r="D20" s="44">
        <f>B20-C20</f>
        <v/>
      </c>
      <c r="E20" s="43">
        <f>"매입가 대비 "&amp;TEXT(주요입력_근거!C10,"0.0%")&amp;" (작업가정)"</f>
        <v/>
      </c>
    </row>
    <row r="21" ht="21.75" customHeight="1" s="38">
      <c r="A21" s="46" t="inlineStr">
        <is>
          <t>[원가 3] 기존 건물 철거비 및 폐기물처리</t>
        </is>
      </c>
      <c r="B21" s="44">
        <f>주요입력_근거!C11</f>
        <v/>
      </c>
      <c r="C21" s="44">
        <f>주요입력_근거!C11</f>
        <v/>
      </c>
      <c r="D21" s="44">
        <f>B21-C21</f>
        <v/>
      </c>
      <c r="E21" s="43" t="inlineStr">
        <is>
          <t>기존 3개동 연면적 1,171.5㎡(354.4평) × 평당 80만원 가정</t>
        </is>
      </c>
    </row>
    <row r="22" ht="21.75" customHeight="1" s="38">
      <c r="A22" s="46" t="inlineStr">
        <is>
          <t>[원가 4] 직접건축공사비 (PC공법+지하주차장)</t>
        </is>
      </c>
      <c r="B22" s="44">
        <f>면적_분양수입_상세!F17*주요입력_근거!C12/10000</f>
        <v/>
      </c>
      <c r="C22" s="44">
        <f>면적_분양수입_상세!I17*주요입력_근거!C12/10000</f>
        <v/>
      </c>
      <c r="D22" s="44">
        <f>B22-C22</f>
        <v/>
      </c>
      <c r="E22" s="43" t="inlineStr">
        <is>
          <t>발코니·지하층 포함 시공연면적 × 평당 950만원 (작업가정)</t>
        </is>
      </c>
    </row>
    <row r="23" ht="21.75" customHeight="1" s="38">
      <c r="A23" s="46" t="inlineStr">
        <is>
          <t>[원가 5] 설계·감리·인허가·인입비 등 용역비</t>
        </is>
      </c>
      <c r="B23" s="44">
        <f>B22*주요입력_근거!C13</f>
        <v/>
      </c>
      <c r="C23" s="44">
        <f>C22*주요입력_근거!C13</f>
        <v/>
      </c>
      <c r="D23" s="44">
        <f>B23-C23</f>
        <v/>
      </c>
      <c r="E23" s="43" t="inlineStr">
        <is>
          <t>직접공사비의 6.0% (작업가정)</t>
        </is>
      </c>
    </row>
    <row r="24" ht="21.75" customHeight="1" s="38">
      <c r="A24" s="46" t="inlineStr">
        <is>
          <t>[원가 6] 분양홍보·중개수수료 및 신탁·제비용</t>
        </is>
      </c>
      <c r="B24" s="44">
        <f>B18*주요입력_근거!C14</f>
        <v/>
      </c>
      <c r="C24" s="44">
        <f>C18*주요입력_근거!C14</f>
        <v/>
      </c>
      <c r="D24" s="44">
        <f>B24-C24</f>
        <v/>
      </c>
      <c r="E24" s="43" t="inlineStr">
        <is>
          <t>총 분양수입의 2.5% (작업가정)</t>
        </is>
      </c>
    </row>
    <row r="25" ht="21.75" customHeight="1" s="38">
      <c r="A25" s="46" t="inlineStr">
        <is>
          <t>[원가 7] 예비비 (공사비 변동 대응)</t>
        </is>
      </c>
      <c r="B25" s="44">
        <f>B22*주요입력_근거!C15</f>
        <v/>
      </c>
      <c r="C25" s="44">
        <f>C22*주요입력_근거!C15</f>
        <v/>
      </c>
      <c r="D25" s="44">
        <f>B25-C25</f>
        <v/>
      </c>
      <c r="E25" s="43" t="inlineStr">
        <is>
          <t>직접공사비의 3.0% (작업가정)</t>
        </is>
      </c>
    </row>
    <row r="26" ht="21.75" customHeight="1" s="38">
      <c r="A26" s="51" t="inlineStr">
        <is>
          <t>총사업비 부분합 (금융비용·법인/양도세 제외)</t>
        </is>
      </c>
      <c r="B26" s="52">
        <f>SUM(B19:B25)</f>
        <v/>
      </c>
      <c r="C26" s="52">
        <f>SUM(C19:C25)</f>
        <v/>
      </c>
      <c r="D26" s="52">
        <f>B26-C26</f>
        <v/>
      </c>
      <c r="E26" s="51" t="inlineStr">
        <is>
          <t>차입이자·PF수수료·기존소유자 정산세금은 제외된 부분합</t>
        </is>
      </c>
    </row>
    <row r="27" ht="21.75" customHeight="1" s="38">
      <c r="A27" s="53" t="inlineStr">
        <is>
          <t>세전·금융전 개발차익 (분양수입 - 사업비 부분합)</t>
        </is>
      </c>
      <c r="B27" s="54">
        <f>B18-B26</f>
        <v/>
      </c>
      <c r="C27" s="54">
        <f>C18-C26</f>
        <v/>
      </c>
      <c r="D27" s="54">
        <f>B27-C27</f>
        <v/>
      </c>
      <c r="E27" s="53" t="inlineStr">
        <is>
          <t>토지매입가 182.3억원 반영 기준 세전·금융전 잔액</t>
        </is>
      </c>
    </row>
    <row r="28" ht="21.75" customHeight="1" s="38">
      <c r="A28" s="43" t="inlineStr">
        <is>
          <t>매출 대비 세전·금융전 이익률 (%)</t>
        </is>
      </c>
      <c r="B28" s="55">
        <f>B27/B18</f>
        <v/>
      </c>
      <c r="C28" s="55">
        <f>C27/C18</f>
        <v/>
      </c>
      <c r="D28" s="55">
        <f>B28-C28</f>
        <v/>
      </c>
      <c r="E28" s="43" t="inlineStr">
        <is>
          <t>세전·금융전 개발차익 ÷ 총 분양수입</t>
        </is>
      </c>
    </row>
    <row r="29" ht="21.75" customHeight="1" s="38">
      <c r="A29" s="46" t="inlineStr">
        <is>
          <t>[참고] 토지비 제외 건축·부대원가 합계</t>
        </is>
      </c>
      <c r="B29" s="44">
        <f>SUM(B21:B25)</f>
        <v/>
      </c>
      <c r="C29" s="44">
        <f>SUM(C21:C25)</f>
        <v/>
      </c>
      <c r="D29" s="44">
        <f>B29-C29</f>
        <v/>
      </c>
      <c r="E29" s="46" t="inlineStr">
        <is>
          <t>부지 A·부지 B 보유자가 직접 시행 시 필요한 순수 건축사업비</t>
        </is>
      </c>
    </row>
    <row r="30" ht="21.75" customHeight="1" s="38">
      <c r="A30" s="56" t="inlineStr">
        <is>
          <t>[참고] 잔여 토지가치 (분양수입 - 순수 건축사업비)</t>
        </is>
      </c>
      <c r="B30" s="54">
        <f>B18-B29</f>
        <v/>
      </c>
      <c r="C30" s="54">
        <f>C18-C29</f>
        <v/>
      </c>
      <c r="D30" s="54">
        <f>B30-C30</f>
        <v/>
      </c>
      <c r="E30" s="53" t="inlineStr">
        <is>
          <t>목표이윤·금융비용 차감 전 대지(218.7평)가 감당 가능한 총가치</t>
        </is>
      </c>
    </row>
    <row r="31"/>
    <row r="32" ht="17.15" customHeight="1" s="38">
      <c r="A32" s="41" t="n"/>
    </row>
    <row r="33" ht="24" customHeight="1" s="38">
      <c r="A33" s="57" t="n"/>
      <c r="B33" s="58" t="n"/>
      <c r="C33" s="58" t="n"/>
      <c r="D33" s="58" t="n"/>
      <c r="E33" s="59" t="n"/>
    </row>
    <row r="34" ht="24" customHeight="1" s="38">
      <c r="A34" s="57" t="n"/>
      <c r="B34" s="58" t="n"/>
      <c r="C34" s="58" t="n"/>
      <c r="D34" s="58" t="n"/>
      <c r="E34" s="59" t="n"/>
    </row>
    <row r="35" ht="24" customHeight="1" s="38">
      <c r="A35" s="57" t="n"/>
      <c r="B35" s="58" t="n"/>
      <c r="C35" s="58" t="n"/>
      <c r="D35" s="58" t="n"/>
      <c r="E35" s="59" t="n"/>
    </row>
    <row r="36" ht="24" customHeight="1" s="38">
      <c r="A36" s="57" t="n"/>
      <c r="B36" s="58" t="n"/>
      <c r="C36" s="58" t="n"/>
      <c r="D36" s="58" t="n"/>
      <c r="E36" s="59" t="n"/>
    </row>
  </sheetData>
  <mergeCells count="4">
    <mergeCell ref="A34:E34"/>
    <mergeCell ref="A35:E35"/>
    <mergeCell ref="A36:E36"/>
    <mergeCell ref="A33:E33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F21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5390625" defaultRowHeight="15" zeroHeight="0" outlineLevelRow="0"/>
  <cols>
    <col width="34" customWidth="1" style="37" min="1" max="1"/>
    <col width="12" customWidth="1" style="37" min="2" max="2"/>
    <col width="16" customWidth="1" style="37" min="3" max="3"/>
    <col width="14" customWidth="1" style="37" min="4" max="4"/>
    <col width="34" customWidth="1" style="37" min="5" max="5"/>
    <col width="48" customWidth="1" style="37" min="6" max="6"/>
  </cols>
  <sheetData>
    <row r="1" ht="27.75" customHeight="1" s="38">
      <c r="A1" s="39" t="inlineStr">
        <is>
          <t>주요 입력 가정 및 원천 자료 근거표</t>
        </is>
      </c>
    </row>
    <row r="2" ht="21.75" customHeight="1" s="38">
      <c r="A2" s="40" t="inlineStr">
        <is>
          <t>※ 노란색 셀의 수치를 변경하면 요약_사업수지 및 시나리오_민감도 시트가 자동 재계산됩니다.</t>
        </is>
      </c>
    </row>
    <row r="3" ht="21.75" customHeight="1" s="38"/>
    <row r="4" ht="21.75" customHeight="1" s="38">
      <c r="A4" s="42" t="inlineStr">
        <is>
          <t>항목명</t>
        </is>
      </c>
      <c r="B4" s="42" t="inlineStr">
        <is>
          <t>구분</t>
        </is>
      </c>
      <c r="C4" s="42" t="inlineStr">
        <is>
          <t>입력값</t>
        </is>
      </c>
      <c r="D4" s="42" t="inlineStr">
        <is>
          <t>단위</t>
        </is>
      </c>
      <c r="E4" s="42" t="inlineStr">
        <is>
          <t>출처 및 기준일</t>
        </is>
      </c>
      <c r="F4" s="42" t="inlineStr">
        <is>
          <t>적용 이유 및 한계</t>
        </is>
      </c>
    </row>
    <row r="5" ht="21.75" customHeight="1" s="38">
      <c r="A5" s="60" t="inlineStr">
        <is>
          <t>합필 대지면적</t>
        </is>
      </c>
      <c r="B5" s="47" t="inlineStr">
        <is>
          <t>확인값</t>
        </is>
      </c>
      <c r="C5" s="61" t="n">
        <v>723</v>
      </c>
      <c r="D5" s="47" t="inlineStr">
        <is>
          <t>㎡</t>
        </is>
      </c>
      <c r="E5" s="43" t="inlineStr">
        <is>
          <t>토지대장 (2026-09-07)</t>
        </is>
      </c>
      <c r="F5" s="43" t="inlineStr">
        <is>
          <t>예시 부지(483.3㎡) + 부지 B(239.7㎡) 합산 (218.71평)</t>
        </is>
      </c>
    </row>
    <row r="6" ht="21.75" customHeight="1" s="38">
      <c r="A6" s="60" t="inlineStr">
        <is>
          <t>토지·기존건물 매입원가 반영액</t>
        </is>
      </c>
      <c r="B6" s="47" t="inlineStr">
        <is>
          <t>작업가정</t>
        </is>
      </c>
      <c r="C6" s="61" t="n">
        <v>182.3</v>
      </c>
      <c r="D6" s="47" t="inlineStr">
        <is>
          <t>억원</t>
        </is>
      </c>
      <c r="E6" s="43" t="inlineStr">
        <is>
          <t>인근 300m 실거래 중위가 (2023.11~2026.05)</t>
        </is>
      </c>
      <c r="F6" s="43" t="inlineStr">
        <is>
          <t>제2종일반주거 일반건물 5건 중위 평당 8,337만원 × 218.71평 적용 (보유 시 별도)</t>
        </is>
      </c>
    </row>
    <row r="7" ht="21.75" customHeight="1" s="38">
      <c r="A7" s="62" t="inlineStr">
        <is>
          <t>2~7층 주택 호당 분양가 (24세대)</t>
        </is>
      </c>
      <c r="B7" s="47" t="inlineStr">
        <is>
          <t>작업가정</t>
        </is>
      </c>
      <c r="C7" s="61" t="n">
        <v>11.5</v>
      </c>
      <c r="D7" s="47" t="inlineStr">
        <is>
          <t>억원/호</t>
        </is>
      </c>
      <c r="E7" s="43" t="inlineStr">
        <is>
          <t>강남구 신축 다세대·연립 실거래 (2024~2026.10)</t>
        </is>
      </c>
      <c r="F7" s="43" t="inlineStr">
        <is>
          <t>전용 46.8㎡+발코니 15㎡(실사용 18.7평), 전용평당 약 8,123만원(실사용 평당 6,150만원)</t>
        </is>
      </c>
    </row>
    <row r="8" ht="21.75" customHeight="1" s="38">
      <c r="A8" s="62" t="inlineStr">
        <is>
          <t>8층 단독 펜트하우스 분양가 (1세대)</t>
        </is>
      </c>
      <c r="B8" s="47" t="inlineStr">
        <is>
          <t>작업가정</t>
        </is>
      </c>
      <c r="C8" s="61" t="n">
        <v>21</v>
      </c>
      <c r="D8" s="47" t="inlineStr">
        <is>
          <t>억원/호</t>
        </is>
      </c>
      <c r="E8" s="43" t="inlineStr">
        <is>
          <t>도곡·대치 중대형 고급빌라/아파트 참작</t>
        </is>
      </c>
      <c r="F8" s="43" t="inlineStr">
        <is>
          <t>전용 84.0㎡+발코니 21㎡+전용 루프테라스 80㎡ (전용평당 약 8,265만원)</t>
        </is>
      </c>
    </row>
    <row r="9" ht="21.75" customHeight="1" s="38">
      <c r="A9" s="62" t="inlineStr">
        <is>
          <t>1층 근생 전용평당 분양가 (2개호)</t>
        </is>
      </c>
      <c r="B9" s="47" t="inlineStr">
        <is>
          <t>작업가정</t>
        </is>
      </c>
      <c r="C9" s="61" t="n">
        <v>0.65</v>
      </c>
      <c r="D9" s="47" t="inlineStr">
        <is>
          <t>억원/전용평</t>
        </is>
      </c>
      <c r="E9" s="43" t="inlineStr">
        <is>
          <t>도곡동 이면 6m 도로변 상가 시세 참작</t>
        </is>
      </c>
      <c r="F9" s="46" t="inlineStr">
        <is>
          <t>101호·102호 합계 전용 63.0평(208㎡) × 전용평당 6,500만원 = 총 41.0억원</t>
        </is>
      </c>
    </row>
    <row r="10" ht="21.75" customHeight="1" s="38">
      <c r="A10" s="60" t="inlineStr">
        <is>
          <t>토지 취득세 및 부대비용률</t>
        </is>
      </c>
      <c r="B10" s="47" t="inlineStr">
        <is>
          <t>작업가정</t>
        </is>
      </c>
      <c r="C10" s="63" t="n">
        <v>0.046</v>
      </c>
      <c r="D10" s="47" t="inlineStr">
        <is>
          <t>비율</t>
        </is>
      </c>
      <c r="E10" s="43" t="inlineStr">
        <is>
          <t>지방세법 제11조 (유상거래 4.0% + 부가세 0.6%)</t>
        </is>
      </c>
      <c r="F10" s="43">
        <f>"취득세·부대비용률 "&amp;TEXT(C10,"0.0%")&amp;" 적용 (작업가정)"</f>
        <v/>
      </c>
    </row>
    <row r="11" ht="21.75" customHeight="1" s="38">
      <c r="A11" s="60" t="inlineStr">
        <is>
          <t>기존 건물 철거 및 폐기물 처리비</t>
        </is>
      </c>
      <c r="B11" s="47" t="inlineStr">
        <is>
          <t>작업가정</t>
        </is>
      </c>
      <c r="C11" s="61" t="n">
        <v>2.8</v>
      </c>
      <c r="D11" s="47" t="inlineStr">
        <is>
          <t>억원</t>
        </is>
      </c>
      <c r="E11" s="43" t="inlineStr">
        <is>
          <t>건축물대장 연면적 1,171.5㎡ (354.4평)</t>
        </is>
      </c>
      <c r="F11" s="43" t="inlineStr">
        <is>
          <t>기존 3개동(지하1~지상4층) 철거·석면·폐기물 평당 약 80만원 가정</t>
        </is>
      </c>
    </row>
    <row r="12" ht="21.75" customHeight="1" s="38">
      <c r="A12" s="60" t="inlineStr">
        <is>
          <t>직접건축공사비 단가 (시공연면적 평당)</t>
        </is>
      </c>
      <c r="B12" s="47" t="inlineStr">
        <is>
          <t>작업가정</t>
        </is>
      </c>
      <c r="C12" s="64" t="n">
        <v>950</v>
      </c>
      <c r="D12" s="47" t="inlineStr">
        <is>
          <t>만원/평</t>
        </is>
      </c>
      <c r="E12" s="43" t="inlineStr">
        <is>
          <t>소규모 PC공법 + 지하 자주식 주차장 공사비 가설</t>
        </is>
      </c>
      <c r="F12" s="43" t="inlineStr">
        <is>
          <t>지하 1층 토목/흙막이 및 지상 PC 골조·발코니 확장 마감 포함 평당 950만원 가정</t>
        </is>
      </c>
    </row>
    <row r="13" ht="21.75" customHeight="1" s="38">
      <c r="A13" s="60" t="inlineStr">
        <is>
          <t>설계·감리·인허가·인입비 비율</t>
        </is>
      </c>
      <c r="B13" s="47" t="inlineStr">
        <is>
          <t>작업가정</t>
        </is>
      </c>
      <c r="C13" s="63" t="n">
        <v>0.06</v>
      </c>
      <c r="D13" s="47" t="inlineStr">
        <is>
          <t>비율</t>
        </is>
      </c>
      <c r="E13" s="43" t="inlineStr">
        <is>
          <t>소규모 공동주택 개발 실무 통상 비율</t>
        </is>
      </c>
      <c r="F13" s="43" t="inlineStr">
        <is>
          <t>직접공사비 대비 6.0% (PC 구조설계·지하 굴토심의·상하수도/한전 인입비 포함)</t>
        </is>
      </c>
    </row>
    <row r="14" ht="21.75" customHeight="1" s="38">
      <c r="A14" s="60" t="inlineStr">
        <is>
          <t>분양대행·홍보·신탁·보증수수료 비율</t>
        </is>
      </c>
      <c r="B14" s="47" t="inlineStr">
        <is>
          <t>작업가정</t>
        </is>
      </c>
      <c r="C14" s="63" t="n">
        <v>0.025</v>
      </c>
      <c r="D14" s="47" t="inlineStr">
        <is>
          <t>비율</t>
        </is>
      </c>
      <c r="E14" s="43" t="inlineStr">
        <is>
          <t>총 분양수입 대비 비율 작업가정</t>
        </is>
      </c>
      <c r="F14" s="43" t="inlineStr">
        <is>
          <t>총 분양수입 대비 2.5% (30세대 미만 임의분양 기준)</t>
        </is>
      </c>
    </row>
    <row r="15" ht="21.75" customHeight="1" s="38">
      <c r="A15" s="60" t="inlineStr">
        <is>
          <t>공사 예비비 비율</t>
        </is>
      </c>
      <c r="B15" s="47" t="inlineStr">
        <is>
          <t>작업가정</t>
        </is>
      </c>
      <c r="C15" s="63" t="n">
        <v>0.03</v>
      </c>
      <c r="D15" s="47" t="inlineStr">
        <is>
          <t>비율</t>
        </is>
      </c>
      <c r="E15" s="43" t="inlineStr">
        <is>
          <t>직접공사비 대비 비율 작업가정</t>
        </is>
      </c>
      <c r="F15" s="43" t="inlineStr">
        <is>
          <t>자재비·민원·지하 굴토 변수 대응 예비비 3.0%</t>
        </is>
      </c>
    </row>
    <row r="16" ht="21.75" customHeight="1" s="38">
      <c r="A16" s="62" t="inlineStr">
        <is>
          <t>PF / 브릿지론 등 금융비용</t>
        </is>
      </c>
      <c r="B16" s="47" t="inlineStr">
        <is>
          <t>미확정</t>
        </is>
      </c>
      <c r="C16" s="64" t="n">
        <v>0</v>
      </c>
      <c r="D16" s="47" t="inlineStr">
        <is>
          <t>억원</t>
        </is>
      </c>
      <c r="E16" s="43" t="inlineStr">
        <is>
          <t>사용자 자기자본 비율·대출 조건 미정</t>
        </is>
      </c>
      <c r="F16" s="43" t="inlineStr">
        <is>
          <t>자기자본 투입 비율과 금리·기간이 미정이므로 0으로 두고 시나리오 시트에서 별도 비교</t>
        </is>
      </c>
    </row>
    <row r="17"/>
    <row r="18" ht="15" customHeight="1" s="38">
      <c r="A18" s="65" t="n"/>
    </row>
    <row r="19" ht="24" customHeight="1" s="38">
      <c r="A19" s="57" t="n"/>
      <c r="B19" s="58" t="n"/>
      <c r="C19" s="58" t="n"/>
      <c r="D19" s="58" t="n"/>
      <c r="E19" s="58" t="n"/>
      <c r="F19" s="59" t="n"/>
    </row>
    <row r="20" ht="24" customHeight="1" s="38">
      <c r="A20" s="57" t="n"/>
      <c r="B20" s="58" t="n"/>
      <c r="C20" s="58" t="n"/>
      <c r="D20" s="58" t="n"/>
      <c r="E20" s="58" t="n"/>
      <c r="F20" s="59" t="n"/>
    </row>
    <row r="21" ht="24" customHeight="1" s="38">
      <c r="A21" s="57" t="n"/>
      <c r="B21" s="58" t="n"/>
      <c r="C21" s="58" t="n"/>
      <c r="D21" s="58" t="n"/>
      <c r="E21" s="58" t="n"/>
      <c r="F21" s="59" t="n"/>
    </row>
  </sheetData>
  <mergeCells count="3">
    <mergeCell ref="A19:F19"/>
    <mergeCell ref="A21:F21"/>
    <mergeCell ref="A20:F20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3.xml><?xml version="1.0" encoding="utf-8"?>
<worksheet xmlns="http://schemas.openxmlformats.org/spreadsheetml/2006/main">
  <sheetPr filterMode="0">
    <outlinePr summaryBelow="1" summaryRight="1"/>
    <pageSetUpPr fitToPage="0"/>
  </sheetPr>
  <dimension ref="A1:I17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5390625" defaultRowHeight="15" zeroHeight="0" outlineLevelRow="0"/>
  <cols>
    <col width="32" customWidth="1" style="37" min="1" max="1"/>
    <col width="14" customWidth="1" style="37" min="2" max="2"/>
    <col width="16" customWidth="1" style="37" min="3" max="6"/>
    <col width="18" customWidth="1" style="37" min="7" max="9"/>
  </cols>
  <sheetData>
    <row r="1" ht="27.75" customHeight="1" s="38">
      <c r="A1" s="39" t="inlineStr">
        <is>
          <t>층별·용도별 면적 산정 및 분양수입 상세표</t>
        </is>
      </c>
    </row>
    <row r="2" ht="21.75" customHeight="1" s="38"/>
    <row r="3" ht="21.75" customHeight="1" s="38">
      <c r="A3" s="41" t="inlineStr">
        <is>
          <t>1. 용도별 분양수입 산정 (안 A: 지상 8층 25세대 기준)</t>
        </is>
      </c>
    </row>
    <row r="4" ht="21.75" customHeight="1" s="38"/>
    <row r="5" ht="21.75" customHeight="1" s="38">
      <c r="A5" s="42" t="inlineStr">
        <is>
          <t>구분</t>
        </is>
      </c>
      <c r="B5" s="42" t="inlineStr">
        <is>
          <t>세대/호수</t>
        </is>
      </c>
      <c r="C5" s="42" t="inlineStr">
        <is>
          <t>호당 전용면적(㎡)</t>
        </is>
      </c>
      <c r="D5" s="42" t="inlineStr">
        <is>
          <t>호당 서비스 발코니(㎡)</t>
        </is>
      </c>
      <c r="E5" s="42" t="inlineStr">
        <is>
          <t>호당 실사용면적(평)</t>
        </is>
      </c>
      <c r="F5" s="42" t="inlineStr">
        <is>
          <t>호당 분양가(억원)</t>
        </is>
      </c>
      <c r="G5" s="42" t="inlineStr">
        <is>
          <t>분양수입 합계(억원)</t>
        </is>
      </c>
      <c r="H5" s="42" t="inlineStr">
        <is>
          <t>전용평당 단가(만원)</t>
        </is>
      </c>
      <c r="I5" s="42" t="inlineStr">
        <is>
          <t>실사용평당 단가(만원)</t>
        </is>
      </c>
    </row>
    <row r="6" ht="21.75" customHeight="1" s="38">
      <c r="A6" s="46" t="inlineStr">
        <is>
          <t>1층 근린생활시설 (101호·102호)</t>
        </is>
      </c>
      <c r="B6" s="66" t="n">
        <v>2</v>
      </c>
      <c r="C6" s="44" t="n">
        <v>104</v>
      </c>
      <c r="D6" s="44" t="n">
        <v>0</v>
      </c>
      <c r="E6" s="44">
        <f>(C6+D6)/3.3058</f>
        <v/>
      </c>
      <c r="F6" s="44">
        <f>E6*주요입력_근거!C9</f>
        <v/>
      </c>
      <c r="G6" s="44">
        <f>B6*F6</f>
        <v/>
      </c>
      <c r="H6" s="49">
        <f>F6*10000/(C6/3.3058)</f>
        <v/>
      </c>
      <c r="I6" s="49">
        <f>F6*10000/E6</f>
        <v/>
      </c>
    </row>
    <row r="7" ht="21.75" customHeight="1" s="38">
      <c r="A7" s="46" t="inlineStr">
        <is>
          <t>2~7층 3-Bay 주택 (24세대)</t>
        </is>
      </c>
      <c r="B7" s="66" t="n">
        <v>24</v>
      </c>
      <c r="C7" s="44" t="n">
        <v>46.8</v>
      </c>
      <c r="D7" s="44" t="n">
        <v>15</v>
      </c>
      <c r="E7" s="44">
        <f>(C7+D7)/3.3058</f>
        <v/>
      </c>
      <c r="F7" s="44">
        <f>주요입력_근거!C7</f>
        <v/>
      </c>
      <c r="G7" s="44">
        <f>B7*F7</f>
        <v/>
      </c>
      <c r="H7" s="49">
        <f>F7*10000/(C7/3.3058)</f>
        <v/>
      </c>
      <c r="I7" s="49">
        <f>F7*10000/E7</f>
        <v/>
      </c>
    </row>
    <row r="8" ht="21.75" customHeight="1" s="38">
      <c r="A8" s="46" t="inlineStr">
        <is>
          <t>8층 단독 펜트하우스 (801호)</t>
        </is>
      </c>
      <c r="B8" s="66" t="n">
        <v>1</v>
      </c>
      <c r="C8" s="44" t="n">
        <v>84</v>
      </c>
      <c r="D8" s="44" t="n">
        <v>21</v>
      </c>
      <c r="E8" s="44">
        <f>(C8+D8)/3.3058</f>
        <v/>
      </c>
      <c r="F8" s="44">
        <f>주요입력_근거!C8</f>
        <v/>
      </c>
      <c r="G8" s="44">
        <f>B8*F8</f>
        <v/>
      </c>
      <c r="H8" s="49">
        <f>F8*10000/(C8/3.3058)</f>
        <v/>
      </c>
      <c r="I8" s="49">
        <f>F8*10000/E8</f>
        <v/>
      </c>
    </row>
    <row r="9" ht="21.75" customHeight="1" s="38">
      <c r="A9" s="51" t="inlineStr">
        <is>
          <t>합계 / 평균 (안 A: 8층 25세대)</t>
        </is>
      </c>
      <c r="B9" s="67">
        <f>SUM(B6:B8)</f>
        <v/>
      </c>
      <c r="C9" s="52">
        <f>SUMPRODUCT(B6:B8,C6:C8)</f>
        <v/>
      </c>
      <c r="D9" s="52">
        <f>SUMPRODUCT(B6:B8,D6:D8)</f>
        <v/>
      </c>
      <c r="E9" s="52">
        <f>(C9+D9)/3.3058</f>
        <v/>
      </c>
      <c r="F9" s="52" t="inlineStr">
        <is>
          <t>-</t>
        </is>
      </c>
      <c r="G9" s="52">
        <f>SUM(G6:G8)</f>
        <v/>
      </c>
      <c r="H9" s="68">
        <f>G9*10000/(C9/3.3058)</f>
        <v/>
      </c>
      <c r="I9" s="68">
        <f>G9*10000/E9</f>
        <v/>
      </c>
    </row>
    <row r="10" ht="21.75" customHeight="1" s="38"/>
    <row r="11" ht="21.75" customHeight="1" s="38">
      <c r="A11" s="41" t="inlineStr">
        <is>
          <t>2. 층별 시공연면적 산정 (공사비 산출 기준 — 발코니 확장 및 지하주차장 포함)</t>
        </is>
      </c>
    </row>
    <row r="12" ht="21.75" customHeight="1" s="38">
      <c r="A12" s="42" t="inlineStr">
        <is>
          <t>층별 구분</t>
        </is>
      </c>
      <c r="B12" s="42" t="inlineStr">
        <is>
          <t>용적률 산입 본체(㎡)</t>
        </is>
      </c>
      <c r="C12" s="42" t="inlineStr">
        <is>
          <t>장애인 E/V 제외(㎡)</t>
        </is>
      </c>
      <c r="D12" s="69" t="inlineStr">
        <is>
          <t>3-Bay 발코니/부속(㎡)</t>
        </is>
      </c>
      <c r="E12" s="42" t="inlineStr">
        <is>
          <t>안A 시공면적(㎡)</t>
        </is>
      </c>
      <c r="F12" s="42" t="inlineStr">
        <is>
          <t>안A 시공면적(평)</t>
        </is>
      </c>
      <c r="G12" s="42" t="inlineStr">
        <is>
          <t>안B(7층) 본체(㎡)</t>
        </is>
      </c>
      <c r="H12" s="42" t="inlineStr">
        <is>
          <t>안B 시공면적(㎡)</t>
        </is>
      </c>
      <c r="I12" s="42" t="inlineStr">
        <is>
          <t>안B 시공면적(평)</t>
        </is>
      </c>
    </row>
    <row r="13" ht="21.75" customHeight="1" s="38">
      <c r="A13" s="43" t="inlineStr">
        <is>
          <t>지하 1층 (자주식 주차장·기계/전기실)</t>
        </is>
      </c>
      <c r="B13" s="44" t="n">
        <v>0</v>
      </c>
      <c r="C13" s="44" t="n">
        <v>0</v>
      </c>
      <c r="D13" s="44" t="n">
        <v>520</v>
      </c>
      <c r="E13" s="44">
        <f>B13+C13+D13</f>
        <v/>
      </c>
      <c r="F13" s="44">
        <f>E13/3.3058</f>
        <v/>
      </c>
      <c r="G13" s="44" t="n">
        <v>0</v>
      </c>
      <c r="H13" s="44" t="n">
        <v>520</v>
      </c>
      <c r="I13" s="44">
        <f>H13/3.3058</f>
        <v/>
      </c>
    </row>
    <row r="14" ht="21.75" customHeight="1" s="38">
      <c r="A14" s="43" t="inlineStr">
        <is>
          <t>지상 1층 (근생 2개호 + 중앙 관통 코어)</t>
        </is>
      </c>
      <c r="B14" s="44" t="n">
        <v>240</v>
      </c>
      <c r="C14" s="44" t="n">
        <v>5.5</v>
      </c>
      <c r="D14" s="44" t="n">
        <v>0</v>
      </c>
      <c r="E14" s="44">
        <f>B14+C14+D14</f>
        <v/>
      </c>
      <c r="F14" s="44">
        <f>E14/3.3058</f>
        <v/>
      </c>
      <c r="G14" s="44" t="n">
        <v>240</v>
      </c>
      <c r="H14" s="44">
        <f>G14+5.5</f>
        <v/>
      </c>
      <c r="I14" s="44">
        <f>H14/3.3058</f>
        <v/>
      </c>
    </row>
    <row r="15" ht="21.75" customHeight="1" s="38">
      <c r="A15" s="43" t="inlineStr">
        <is>
          <t>지상 2~7층 (3-Bay 24세대 + 양면 발코니)</t>
        </is>
      </c>
      <c r="B15" s="44">
        <f>240*6</f>
        <v/>
      </c>
      <c r="C15" s="44">
        <f>5.5*6</f>
        <v/>
      </c>
      <c r="D15" s="44">
        <f>60*6</f>
        <v/>
      </c>
      <c r="E15" s="44">
        <f>B15+C15+D15</f>
        <v/>
      </c>
      <c r="F15" s="44">
        <f>E15/3.3058</f>
        <v/>
      </c>
      <c r="G15" s="44">
        <f>240*6</f>
        <v/>
      </c>
      <c r="H15" s="44">
        <f>G15+5.5*6+60*6</f>
        <v/>
      </c>
      <c r="I15" s="44">
        <f>H15/3.3058</f>
        <v/>
      </c>
    </row>
    <row r="16" ht="21.75" customHeight="1" s="38">
      <c r="A16" s="43" t="inlineStr">
        <is>
          <t>지상 8층 (단독 801호 + 발코니) 및 옥탑</t>
        </is>
      </c>
      <c r="B16" s="44" t="n">
        <v>127.5</v>
      </c>
      <c r="C16" s="44" t="n">
        <v>5.5</v>
      </c>
      <c r="D16" s="44" t="n">
        <v>41</v>
      </c>
      <c r="E16" s="44">
        <f>B16+C16+D16</f>
        <v/>
      </c>
      <c r="F16" s="44">
        <f>E16/3.3058</f>
        <v/>
      </c>
      <c r="G16" s="44" t="n">
        <v>0</v>
      </c>
      <c r="H16" s="44" t="n">
        <v>20</v>
      </c>
      <c r="I16" s="44">
        <f>H16/3.3058</f>
        <v/>
      </c>
    </row>
    <row r="17" ht="21.75" customHeight="1" s="38">
      <c r="A17" s="51" t="inlineStr">
        <is>
          <t>총 시공연면적 합계 (지하1층 ~ 옥탑)</t>
        </is>
      </c>
      <c r="B17" s="52">
        <f>SUM(B13:B16)</f>
        <v/>
      </c>
      <c r="C17" s="52">
        <f>SUM(C13:C16)</f>
        <v/>
      </c>
      <c r="D17" s="52">
        <f>SUM(D13:D16)</f>
        <v/>
      </c>
      <c r="E17" s="52">
        <f>SUM(E13:E16)</f>
        <v/>
      </c>
      <c r="F17" s="52">
        <f>E17/3.3058</f>
        <v/>
      </c>
      <c r="G17" s="52">
        <f>SUM(G13:G16)</f>
        <v/>
      </c>
      <c r="H17" s="52">
        <f>SUM(H13:H16)</f>
        <v/>
      </c>
      <c r="I17" s="52">
        <f>H17/3.3058</f>
        <v/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4.xml><?xml version="1.0" encoding="utf-8"?>
<worksheet xmlns="http://schemas.openxmlformats.org/spreadsheetml/2006/main">
  <sheetPr filterMode="0">
    <outlinePr summaryBelow="1" summaryRight="1"/>
    <pageSetUpPr fitToPage="0"/>
  </sheetPr>
  <dimension ref="A1:I26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5390625" defaultRowHeight="15" zeroHeight="0" outlineLevelRow="0"/>
  <cols>
    <col width="38" customWidth="1" style="37" min="1" max="1"/>
    <col width="22" customWidth="1" style="37" min="2" max="2"/>
    <col width="18" customWidth="1" style="37" min="3" max="7"/>
    <col width="22" customWidth="1" style="37" min="8" max="8"/>
    <col width="14" customWidth="1" style="37" min="9" max="9"/>
  </cols>
  <sheetData>
    <row r="1" ht="27.75" customHeight="1" s="38">
      <c r="A1" s="39" t="inlineStr">
        <is>
          <t>토지취득가·분양가·공사비 민감도 분석 및 인근 실거래 근거</t>
        </is>
      </c>
    </row>
    <row r="2" ht="21.75" customHeight="1" s="38"/>
    <row r="3" ht="21.75" customHeight="1" s="38">
      <c r="A3" s="41" t="inlineStr">
        <is>
          <t>1. 토지·기존건물 매입(평가) 기준별 사업수지 비교 (안 A: 지상 8층 25세대 기준, 단위: 억원)</t>
        </is>
      </c>
    </row>
    <row r="4" ht="21.75" customHeight="1" s="38">
      <c r="A4" s="42" t="inlineStr">
        <is>
          <t>토지·기존건물 가격 시나리오</t>
        </is>
      </c>
      <c r="B4" s="42" t="inlineStr">
        <is>
          <t>대지 평당가(만원)</t>
        </is>
      </c>
      <c r="C4" s="42" t="inlineStr">
        <is>
          <t>토지·건물 원가(억원)</t>
        </is>
      </c>
      <c r="D4" s="42" t="inlineStr">
        <is>
          <t>취득세·부대비(억원)</t>
        </is>
      </c>
      <c r="E4" s="42" t="inlineStr">
        <is>
          <t>건축·기타원가(억원)</t>
        </is>
      </c>
      <c r="F4" s="42" t="inlineStr">
        <is>
          <t>총사업비 부분합(억원)</t>
        </is>
      </c>
      <c r="G4" s="42" t="inlineStr">
        <is>
          <t>총 분양수입(억원)</t>
        </is>
      </c>
      <c r="H4" s="42" t="inlineStr">
        <is>
          <t>세전·금융전 개발차익(억원)</t>
        </is>
      </c>
      <c r="I4" s="42" t="inlineStr">
        <is>
          <t>이익률(%)</t>
        </is>
      </c>
    </row>
    <row r="5" ht="21.75" customHeight="1" s="38">
      <c r="A5" s="43" t="inlineStr">
        <is>
          <t>시나리오 1: 랜드북 추정가 합산 (부지 A 12세대 21.4억 + 부지 B 토지·건물 6.3억)</t>
        </is>
      </c>
      <c r="B5" s="49">
        <f>C5*10000/요약_사업수지!D7</f>
        <v/>
      </c>
      <c r="C5" s="44">
        <f>요약_사업수지!D11</f>
        <v/>
      </c>
      <c r="D5" s="44">
        <f>C5*주요입력_근거!C10</f>
        <v/>
      </c>
      <c r="E5" s="44">
        <f>요약_사업수지!B29</f>
        <v/>
      </c>
      <c r="F5" s="44">
        <f>C5+D5+E5</f>
        <v/>
      </c>
      <c r="G5" s="44">
        <f>요약_사업수지!B18</f>
        <v/>
      </c>
      <c r="H5" s="44">
        <f>G5-F5</f>
        <v/>
      </c>
      <c r="I5" s="55">
        <f>H5/G5</f>
        <v/>
      </c>
    </row>
    <row r="6" ht="21.75" customHeight="1" s="38">
      <c r="A6" s="43" t="inlineStr">
        <is>
          <t>시나리오 2: 인근 300m 매매 최저사례 단가 (평당 7,861만원)</t>
        </is>
      </c>
      <c r="B6" s="49" t="n">
        <v>7861</v>
      </c>
      <c r="C6" s="44">
        <f>B6*요약_사업수지!D7/10000</f>
        <v/>
      </c>
      <c r="D6" s="44">
        <f>C6*주요입력_근거!C10</f>
        <v/>
      </c>
      <c r="E6" s="44">
        <f>요약_사업수지!B29</f>
        <v/>
      </c>
      <c r="F6" s="44">
        <f>C6+D6+E6</f>
        <v/>
      </c>
      <c r="G6" s="44">
        <f>요약_사업수지!B18</f>
        <v/>
      </c>
      <c r="H6" s="44">
        <f>G6-F6</f>
        <v/>
      </c>
      <c r="I6" s="55">
        <f>H6/G6</f>
        <v/>
      </c>
    </row>
    <row r="7" ht="21.75" customHeight="1" s="38">
      <c r="A7" s="70" t="inlineStr">
        <is>
          <t>시나리오 3: 인근 300m 매매 중위사례 단가 (기본안, 평당 8,337만원)</t>
        </is>
      </c>
      <c r="B7" s="71">
        <f>C7*10000/요약_사업수지!D7</f>
        <v/>
      </c>
      <c r="C7" s="72">
        <f>주요입력_근거!C6</f>
        <v/>
      </c>
      <c r="D7" s="72">
        <f>C7*주요입력_근거!C10</f>
        <v/>
      </c>
      <c r="E7" s="72">
        <f>요약_사업수지!B29</f>
        <v/>
      </c>
      <c r="F7" s="72">
        <f>C7+D7+E7</f>
        <v/>
      </c>
      <c r="G7" s="72">
        <f>요약_사업수지!B18</f>
        <v/>
      </c>
      <c r="H7" s="73">
        <f>G7-F7</f>
        <v/>
      </c>
      <c r="I7" s="74">
        <f>H7/G7</f>
        <v/>
      </c>
    </row>
    <row r="8" ht="21.75" customHeight="1" s="38">
      <c r="A8" s="43" t="inlineStr">
        <is>
          <t>시나리오 4: 인근 300m 매매 최고사례 수준 (평당 9,500만원)</t>
        </is>
      </c>
      <c r="B8" s="49" t="n">
        <v>9500</v>
      </c>
      <c r="C8" s="44">
        <f>B8*요약_사업수지!D7/10000</f>
        <v/>
      </c>
      <c r="D8" s="44">
        <f>C8*주요입력_근거!C10</f>
        <v/>
      </c>
      <c r="E8" s="44">
        <f>요약_사업수지!B29</f>
        <v/>
      </c>
      <c r="F8" s="44">
        <f>C8+D8+E8</f>
        <v/>
      </c>
      <c r="G8" s="44">
        <f>요약_사업수지!B18</f>
        <v/>
      </c>
      <c r="H8" s="44">
        <f>G8-F8</f>
        <v/>
      </c>
      <c r="I8" s="55">
        <f>H8/G8</f>
        <v/>
      </c>
    </row>
    <row r="9" ht="21.75" customHeight="1" s="38"/>
    <row r="10" ht="21.75" customHeight="1" s="38">
      <c r="A10" s="41" t="inlineStr">
        <is>
          <t>2. 분양가 및 직접공사비 변동에 따른 세전·금융전 개발차익 민감도 (안 A · 토지 182.3억원 기준, 단위: 억원)</t>
        </is>
      </c>
    </row>
    <row r="11" ht="21.75" customHeight="1" s="38">
      <c r="A11" s="42" t="inlineStr">
        <is>
          <t>구분 (2~7층 호당 분양가 \ 평당 공사비)</t>
        </is>
      </c>
      <c r="B11" s="42" t="inlineStr">
        <is>
          <t>평당 850만원 (-100만)</t>
        </is>
      </c>
      <c r="C11" s="42" t="inlineStr">
        <is>
          <t>평당 950만원 (기본안)</t>
        </is>
      </c>
      <c r="D11" s="42" t="inlineStr">
        <is>
          <t>평당 1,050만원 (+100만)</t>
        </is>
      </c>
      <c r="E11" s="42" t="inlineStr">
        <is>
          <t>비고</t>
        </is>
      </c>
    </row>
    <row r="12" ht="21.75" customHeight="1" s="38">
      <c r="A12" s="43" t="inlineStr">
        <is>
          <t>보수안: 2~7층 호당 10.5억원 (총매출 314.0억)</t>
        </is>
      </c>
      <c r="B12" s="44">
        <f>(요약_사업수지!$B$15+요약_사업수지!$B$17+24*10.5)-(요약_사업수지!$B$19+요약_사업수지!$B$20+요약_사업수지!$B$21+(면적_분양수입_상세!$F$17*850/10000)*(1+주요입력_근거!$C$13+주요입력_근거!$C$15)+(요약_사업수지!$B$15+요약_사업수지!$B$17+24*10.5)*주요입력_근거!$C$14)</f>
        <v/>
      </c>
      <c r="C12" s="44">
        <f>(요약_사업수지!$B$15+요약_사업수지!$B$17+24*10.5)-(요약_사업수지!$B$19+요약_사업수지!$B$20+요약_사업수지!$B$21+(면적_분양수입_상세!$F$17*950/10000)*(1+주요입력_근거!$C$13+주요입력_근거!$C$15)+(요약_사업수지!$B$15+요약_사업수지!$B$17+24*10.5)*주요입력_근거!$C$14)</f>
        <v/>
      </c>
      <c r="D12" s="44">
        <f>(요약_사업수지!$B$15+요약_사업수지!$B$17+24*10.5)-(요약_사업수지!$B$19+요약_사업수지!$B$20+요약_사업수지!$B$21+(면적_분양수입_상세!$F$17*1050/10000)*(1+주요입력_근거!$C$13+주요입력_근거!$C$15)+(요약_사업수지!$B$15+요약_사업수지!$B$17+24*10.5)*주요입력_근거!$C$14)</f>
        <v/>
      </c>
      <c r="E12" s="75" t="inlineStr">
        <is>
          <t>전용평당 7,417만원 / 실사용평당 5,615만원</t>
        </is>
      </c>
    </row>
    <row r="13" ht="21.75" customHeight="1" s="38">
      <c r="A13" s="60" t="inlineStr">
        <is>
          <t>기본안: 2~7층 호당 11.5억원 (총매출 338.0억)</t>
        </is>
      </c>
      <c r="B13" s="44">
        <f>(요약_사업수지!$B$15+요약_사업수지!$B$17+24*11.5)-(요약_사업수지!$B$19+요약_사업수지!$B$20+요약_사업수지!$B$21+(면적_분양수입_상세!$F$17*850/10000)*(1+주요입력_근거!$C$13+주요입력_근거!$C$15)+(요약_사업수지!$B$15+요약_사업수지!$B$17+24*11.5)*주요입력_근거!$C$14)</f>
        <v/>
      </c>
      <c r="C13" s="73">
        <f>(요약_사업수지!$B$15+요약_사업수지!$B$17+24*11.5)-(요약_사업수지!$B$19+요약_사업수지!$B$20+요약_사업수지!$B$21+(면적_분양수입_상세!$F$17*950/10000)*(1+주요입력_근거!$C$13+주요입력_근거!$C$15)+(요약_사업수지!$B$15+요약_사업수지!$B$17+24*11.5)*주요입력_근거!$C$14)</f>
        <v/>
      </c>
      <c r="D13" s="44">
        <f>(요약_사업수지!$B$15+요약_사업수지!$B$17+24*11.5)-(요약_사업수지!$B$19+요약_사업수지!$B$20+요약_사업수지!$B$21+(면적_분양수입_상세!$F$17*1050/10000)*(1+주요입력_근거!$C$13+주요입력_근거!$C$15)+(요약_사업수지!$B$15+요약_사업수지!$B$17+24*11.5)*주요입력_근거!$C$14)</f>
        <v/>
      </c>
      <c r="E13" s="75" t="inlineStr">
        <is>
          <t>전용평당 8,123만원 / 실사용평당 6,150만원</t>
        </is>
      </c>
    </row>
    <row r="14" ht="21.75" customHeight="1" s="38">
      <c r="A14" s="43" t="inlineStr">
        <is>
          <t>강세안: 2~7층 호당 12.5억원 (총매출 362.0억)</t>
        </is>
      </c>
      <c r="B14" s="44">
        <f>(요약_사업수지!$B$15+요약_사업수지!$B$17+24*12.5)-(요약_사업수지!$B$19+요약_사업수지!$B$20+요약_사업수지!$B$21+(면적_분양수입_상세!$F$17*850/10000)*(1+주요입력_근거!$C$13+주요입력_근거!$C$15)+(요약_사업수지!$B$15+요약_사업수지!$B$17+24*12.5)*주요입력_근거!$C$14)</f>
        <v/>
      </c>
      <c r="C14" s="44">
        <f>(요약_사업수지!$B$15+요약_사업수지!$B$17+24*12.5)-(요약_사업수지!$B$19+요약_사업수지!$B$20+요약_사업수지!$B$21+(면적_분양수입_상세!$F$17*950/10000)*(1+주요입력_근거!$C$13+주요입력_근거!$C$15)+(요약_사업수지!$B$15+요약_사업수지!$B$17+24*12.5)*주요입력_근거!$C$14)</f>
        <v/>
      </c>
      <c r="D14" s="44">
        <f>(요약_사업수지!$B$15+요약_사업수지!$B$17+24*12.5)-(요약_사업수지!$B$19+요약_사업수지!$B$20+요약_사업수지!$B$21+(면적_분양수입_상세!$F$17*1050/10000)*(1+주요입력_근거!$C$13+주요입력_근거!$C$15)+(요약_사업수지!$B$15+요약_사업수지!$B$17+24*12.5)*주요입력_근거!$C$14)</f>
        <v/>
      </c>
      <c r="E14" s="75" t="inlineStr">
        <is>
          <t>전용평당 8,829만원 / 실사용평당 6,684만원</t>
        </is>
      </c>
    </row>
    <row r="15" ht="21.75" customHeight="1" s="38"/>
    <row r="16" ht="21.75" customHeight="1" s="38">
      <c r="A16" s="41" t="inlineStr">
        <is>
          <t>3. 원천 확인 비교사례 (토지·일반건물 매매 및 인근 신축 다세대·연립 매매)</t>
        </is>
      </c>
    </row>
    <row r="17" ht="21.75" customHeight="1" s="38">
      <c r="A17" s="42" t="inlineStr">
        <is>
          <t>구분</t>
        </is>
      </c>
      <c r="B17" s="42" t="inlineStr">
        <is>
          <t>소재지 / 건물명</t>
        </is>
      </c>
      <c r="C17" s="42" t="inlineStr">
        <is>
          <t>계약일</t>
        </is>
      </c>
      <c r="D17" s="42" t="inlineStr">
        <is>
          <t>준공연도</t>
        </is>
      </c>
      <c r="E17" s="42" t="inlineStr">
        <is>
          <t>면적(㎡)</t>
        </is>
      </c>
      <c r="F17" s="42" t="inlineStr">
        <is>
          <t>거래금액(억원)</t>
        </is>
      </c>
      <c r="G17" s="42" t="inlineStr">
        <is>
          <t>평당 단가(만원)</t>
        </is>
      </c>
      <c r="H17" s="42" t="inlineStr">
        <is>
          <t>비고 (원천: 국토교통부 실거래)</t>
        </is>
      </c>
    </row>
    <row r="18" ht="21.75" customHeight="1" s="38">
      <c r="A18" s="47" t="inlineStr">
        <is>
          <t>인근 토지·건물</t>
        </is>
      </c>
      <c r="B18" s="43" t="inlineStr">
        <is>
          <t>예시 부지 (제2종근생)</t>
        </is>
      </c>
      <c r="C18" s="76" t="inlineStr">
        <is>
          <t>2026-05-19</t>
        </is>
      </c>
      <c r="D18" s="47" t="n">
        <v>1989</v>
      </c>
      <c r="E18" s="44" t="n">
        <v>120.5</v>
      </c>
      <c r="F18" s="44" t="n">
        <v>29.7</v>
      </c>
      <c r="G18" s="49" t="n">
        <v>8148</v>
      </c>
      <c r="H18" s="43" t="inlineStr">
        <is>
          <t>대지면적 기준 평당가 (거리 73m, 2종일반주거)</t>
        </is>
      </c>
    </row>
    <row r="19" ht="21.75" customHeight="1" s="38">
      <c r="A19" s="47" t="inlineStr">
        <is>
          <t>인근 토지·건물</t>
        </is>
      </c>
      <c r="B19" s="43" t="inlineStr">
        <is>
          <t>예시 부지 (제2종근생)</t>
        </is>
      </c>
      <c r="C19" s="76" t="inlineStr">
        <is>
          <t>2026-05-13</t>
        </is>
      </c>
      <c r="D19" s="76" t="inlineStr">
        <is>
          <t>-</t>
        </is>
      </c>
      <c r="E19" s="44" t="n">
        <v>317.5</v>
      </c>
      <c r="F19" s="44" t="n">
        <v>75.5</v>
      </c>
      <c r="G19" s="49" t="n">
        <v>7861</v>
      </c>
      <c r="H19" s="43" t="inlineStr">
        <is>
          <t>대지면적 기준 평당가 (거리 122m, 2종일반주거)</t>
        </is>
      </c>
    </row>
    <row r="20" ht="21.75" customHeight="1" s="38">
      <c r="A20" s="47" t="inlineStr">
        <is>
          <t>인근 토지·건물</t>
        </is>
      </c>
      <c r="B20" s="43" t="inlineStr">
        <is>
          <t>예시 부지 (제1종근생)</t>
        </is>
      </c>
      <c r="C20" s="76" t="inlineStr">
        <is>
          <t>2025-02-28</t>
        </is>
      </c>
      <c r="D20" s="47" t="n">
        <v>1987</v>
      </c>
      <c r="E20" s="44" t="n">
        <v>152.2</v>
      </c>
      <c r="F20" s="44" t="n">
        <v>46</v>
      </c>
      <c r="G20" s="49" t="n">
        <v>9991</v>
      </c>
      <c r="H20" s="43" t="inlineStr">
        <is>
          <t>대지면적 기준 평당가 (거리 86m, 2종일반주거)</t>
        </is>
      </c>
    </row>
    <row r="21" ht="21.75" customHeight="1" s="38">
      <c r="A21" s="47" t="inlineStr">
        <is>
          <t>인근 토지·건물</t>
        </is>
      </c>
      <c r="B21" s="43" t="inlineStr">
        <is>
          <t>예시 부지 (제1종근생)</t>
        </is>
      </c>
      <c r="C21" s="76" t="inlineStr">
        <is>
          <t>2024-09-12</t>
        </is>
      </c>
      <c r="D21" s="47" t="n">
        <v>1989</v>
      </c>
      <c r="E21" s="44" t="n">
        <v>309.3</v>
      </c>
      <c r="F21" s="44" t="n">
        <v>78</v>
      </c>
      <c r="G21" s="49" t="n">
        <v>8337</v>
      </c>
      <c r="H21" s="43" t="inlineStr">
        <is>
          <t>대지면적 기준 평당가 (거리 237m, 중위사례)</t>
        </is>
      </c>
    </row>
    <row r="22" ht="21.75" customHeight="1" s="38">
      <c r="A22" s="47" t="inlineStr">
        <is>
          <t>인근 토지·건물</t>
        </is>
      </c>
      <c r="B22" s="43" t="inlineStr">
        <is>
          <t>예시 부지 (업무시설)</t>
        </is>
      </c>
      <c r="C22" s="76" t="inlineStr">
        <is>
          <t>2023-11-07</t>
        </is>
      </c>
      <c r="D22" s="47" t="n">
        <v>2023</v>
      </c>
      <c r="E22" s="44" t="n">
        <v>284.4</v>
      </c>
      <c r="F22" s="44" t="n">
        <v>84.8</v>
      </c>
      <c r="G22" s="49" t="n">
        <v>9857</v>
      </c>
      <c r="H22" s="46" t="inlineStr">
        <is>
          <t>2023년 신축 건물 포함 매매 (거리 77m)</t>
        </is>
      </c>
    </row>
    <row r="23" ht="21.75" customHeight="1" s="38">
      <c r="A23" s="47" t="inlineStr">
        <is>
          <t>신축급 다세대</t>
        </is>
      </c>
      <c r="B23" s="43" t="inlineStr">
        <is>
          <t>강남구 대치동 901-46 (대치명문가)</t>
        </is>
      </c>
      <c r="C23" s="76" t="inlineStr">
        <is>
          <t>2026-10-07</t>
        </is>
      </c>
      <c r="D23" s="47" t="n">
        <v>2022</v>
      </c>
      <c r="E23" s="44" t="n">
        <v>47.78</v>
      </c>
      <c r="F23" s="44" t="n">
        <v>11.65</v>
      </c>
      <c r="G23" s="49" t="n">
        <v>8060</v>
      </c>
      <c r="H23" s="43" t="inlineStr">
        <is>
          <t>전용면적 기준 평당가 (전용 14.5평)</t>
        </is>
      </c>
    </row>
    <row r="24" ht="21.75" customHeight="1" s="38">
      <c r="A24" s="47" t="inlineStr">
        <is>
          <t>신축 다세대</t>
        </is>
      </c>
      <c r="B24" s="43" t="inlineStr">
        <is>
          <t>강남구 개포동 1165-4 (개포라온채)</t>
        </is>
      </c>
      <c r="C24" s="76" t="inlineStr">
        <is>
          <t>2026-09-11</t>
        </is>
      </c>
      <c r="D24" s="47" t="n">
        <v>2026</v>
      </c>
      <c r="E24" s="44" t="n">
        <v>48.86</v>
      </c>
      <c r="F24" s="44" t="n">
        <v>11.6</v>
      </c>
      <c r="G24" s="49" t="n">
        <v>7849</v>
      </c>
      <c r="H24" s="43" t="inlineStr">
        <is>
          <t>전용면적 기준 평당가 (2026년 5월 준공 신축)</t>
        </is>
      </c>
    </row>
    <row r="25" ht="21.75" customHeight="1" s="38">
      <c r="A25" s="47" t="inlineStr">
        <is>
          <t>신축 다세대</t>
        </is>
      </c>
      <c r="B25" s="43" t="inlineStr">
        <is>
          <t>강남구 개포동 1165-4 (개포라온채)</t>
        </is>
      </c>
      <c r="C25" s="76" t="inlineStr">
        <is>
          <t>2026-06-25</t>
        </is>
      </c>
      <c r="D25" s="47" t="n">
        <v>2026</v>
      </c>
      <c r="E25" s="44" t="n">
        <v>48.91</v>
      </c>
      <c r="F25" s="44" t="n">
        <v>11.8</v>
      </c>
      <c r="G25" s="49" t="n">
        <v>7975</v>
      </c>
      <c r="H25" s="43" t="inlineStr">
        <is>
          <t>전용면적 기준 평당가 (2026년 5월 준공 신축)</t>
        </is>
      </c>
    </row>
    <row r="26" ht="21.75" customHeight="1" s="38">
      <c r="A26" s="47" t="inlineStr">
        <is>
          <t>신축급 다세대</t>
        </is>
      </c>
      <c r="B26" s="43" t="inlineStr">
        <is>
          <t>강남구 일원동 641-11 (샤갈하우스3)</t>
        </is>
      </c>
      <c r="C26" s="76" t="inlineStr">
        <is>
          <t>2026-10-12</t>
        </is>
      </c>
      <c r="D26" s="47" t="n">
        <v>2023</v>
      </c>
      <c r="E26" s="44" t="n">
        <v>52.83</v>
      </c>
      <c r="F26" s="44" t="n">
        <v>11.5</v>
      </c>
      <c r="G26" s="49" t="n">
        <v>7196</v>
      </c>
      <c r="H26" s="43" t="inlineStr">
        <is>
          <t>전용면적 기준 평당가 (전용 16.0평)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2026-10-29T22:36:41Z</dcterms:created>
  <dcterms:modified xmlns:dcterms="http://purl.org/dc/terms/" xmlns:xsi="http://www.w3.org/2001/XMLSchema-instance" xsi:type="dcterms:W3CDTF">2026-10-30T01:15:38Z</dcterms:modified>
  <cp:revision>0</cp:revision>
</cp:coreProperties>
</file>